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RET. REFORMA 2013" sheetId="1" r:id="rId1"/>
    <sheet name="RET. REFORMA 2014" sheetId="2" r:id="rId2"/>
  </sheets>
  <calcPr calcId="145621"/>
</workbook>
</file>

<file path=xl/calcChain.xml><?xml version="1.0" encoding="utf-8"?>
<calcChain xmlns="http://schemas.openxmlformats.org/spreadsheetml/2006/main">
  <c r="B27" i="2" l="1"/>
  <c r="B26" i="2"/>
  <c r="B63" i="1" l="1"/>
  <c r="B54" i="1" l="1"/>
  <c r="B55" i="1" s="1"/>
  <c r="E69" i="1" s="1"/>
  <c r="B50" i="1"/>
  <c r="B51" i="1" s="1"/>
  <c r="E66" i="1" l="1"/>
  <c r="G32" i="1" l="1"/>
  <c r="F32" i="1"/>
  <c r="E32" i="1"/>
  <c r="G31" i="1"/>
  <c r="F31" i="1"/>
  <c r="E31" i="1"/>
  <c r="D31" i="1"/>
  <c r="G30" i="1"/>
  <c r="B22" i="2" s="1"/>
  <c r="F30" i="1"/>
  <c r="E30" i="1"/>
  <c r="D30" i="1"/>
  <c r="C30" i="1"/>
  <c r="E21" i="1"/>
  <c r="E20" i="1"/>
  <c r="E19" i="1"/>
  <c r="F19" i="1" s="1"/>
  <c r="B20" i="1" s="1"/>
  <c r="B56" i="1" l="1"/>
  <c r="E76" i="1" s="1"/>
  <c r="F20" i="1"/>
  <c r="B21" i="1" s="1"/>
  <c r="F21" i="1" l="1"/>
  <c r="B22" i="1" s="1"/>
  <c r="B28" i="2" l="1"/>
  <c r="E26" i="2"/>
  <c r="B29" i="2" l="1"/>
  <c r="B30" i="2" s="1"/>
  <c r="B31" i="2" s="1"/>
  <c r="C47" i="2" l="1"/>
  <c r="C48" i="2"/>
  <c r="C49" i="2" s="1"/>
  <c r="E27" i="2"/>
  <c r="E28" i="2" s="1"/>
  <c r="E30" i="2" s="1"/>
  <c r="B64" i="1" l="1"/>
  <c r="B62" i="1"/>
  <c r="E62" i="1"/>
  <c r="B65" i="1" l="1"/>
  <c r="B66" i="1" s="1"/>
  <c r="B67" i="1" s="1"/>
  <c r="E67" i="1" s="1"/>
  <c r="E70" i="1" s="1"/>
  <c r="E71" i="1" s="1"/>
  <c r="E77" i="1" l="1"/>
  <c r="E78" i="1" s="1"/>
  <c r="F78" i="1" s="1"/>
  <c r="C90" i="1"/>
  <c r="C91" i="1" s="1"/>
  <c r="C89" i="1"/>
  <c r="E32" i="2"/>
  <c r="E33" i="2" s="1"/>
  <c r="E63" i="1"/>
  <c r="E64" i="1" s="1"/>
  <c r="F64" i="1" s="1"/>
</calcChain>
</file>

<file path=xl/sharedStrings.xml><?xml version="1.0" encoding="utf-8"?>
<sst xmlns="http://schemas.openxmlformats.org/spreadsheetml/2006/main" count="172" uniqueCount="93">
  <si>
    <t>PARAMETROS RETRIBUCION SEGÚN IT (REFORMA SORIA)</t>
  </si>
  <si>
    <t>Item</t>
  </si>
  <si>
    <t>Dato</t>
  </si>
  <si>
    <t>Unidades</t>
  </si>
  <si>
    <t>Detalle</t>
  </si>
  <si>
    <t>Real Decreto</t>
  </si>
  <si>
    <t>Real Decreto bajo el cual se remuneraría la instalacion estudiada</t>
  </si>
  <si>
    <t>IT Nº</t>
  </si>
  <si>
    <t>Según clasificación planta desde el 661 o 1578, su equivalencia en reforma</t>
  </si>
  <si>
    <t>Potencia N.</t>
  </si>
  <si>
    <t>KWn.</t>
  </si>
  <si>
    <t>Potencia nominal de la instalación a estudiar</t>
  </si>
  <si>
    <t>Horas Max.</t>
  </si>
  <si>
    <t>Dato de la IT correspondiente horas máximas funcionamiento para RO (Nh)</t>
  </si>
  <si>
    <t>V. Reinv.</t>
  </si>
  <si>
    <t>€/MWn.</t>
  </si>
  <si>
    <t>Dato de la IT correspondiente a la Retribución a la inversión (Rinv)</t>
  </si>
  <si>
    <t>Valor Ro</t>
  </si>
  <si>
    <t>€/MWh.</t>
  </si>
  <si>
    <t>Dato de la IT correspondiente a la Retribución a la Operación (RO)</t>
  </si>
  <si>
    <t>Producción</t>
  </si>
  <si>
    <t>Kwh.</t>
  </si>
  <si>
    <t>Producción real de la instalación a estudiar</t>
  </si>
  <si>
    <t>Precio pool</t>
  </si>
  <si>
    <t>Precio medio estimado para el Pool en 2014</t>
  </si>
  <si>
    <t>Precio s/Real Dec.</t>
  </si>
  <si>
    <t>€/Mwh.</t>
  </si>
  <si>
    <t>Precio MWh para instalaciones (a considerar si del 661 o del 1578)</t>
  </si>
  <si>
    <t>COBRO CON REFORMA</t>
  </si>
  <si>
    <t>Retrib. Inv. (Rinv)</t>
  </si>
  <si>
    <t>Real Decreto marco</t>
  </si>
  <si>
    <t>Retrib. Op (RO)</t>
  </si>
  <si>
    <t>Reforma 2014</t>
  </si>
  <si>
    <t>Mercado (pool)</t>
  </si>
  <si>
    <t>Recorte</t>
  </si>
  <si>
    <t>Ingresos BRUTOS</t>
  </si>
  <si>
    <t>Impuesto 7%</t>
  </si>
  <si>
    <t>% Recorte s/ RD marco</t>
  </si>
  <si>
    <t>Ingresos NETOS</t>
  </si>
  <si>
    <t>CALCULO RENTABILIDADES</t>
  </si>
  <si>
    <t>Inversión</t>
  </si>
  <si>
    <t>€</t>
  </si>
  <si>
    <t>Total capital invertido para la realización de la instalación</t>
  </si>
  <si>
    <t>Pagos anuales</t>
  </si>
  <si>
    <t>Importe gastos anuales como: prestamo, leasing (incluyendo intereses), represen-</t>
  </si>
  <si>
    <t>tación, mantenimiento, seguro, alquiler, etc. (Gastos anuales de la instalación)</t>
  </si>
  <si>
    <t>Rentabilidad s/ la inversión (bruta)</t>
  </si>
  <si>
    <t>Saldo tesorería instalación</t>
  </si>
  <si>
    <t>Rentabilidad s/inversión (NETA)</t>
  </si>
  <si>
    <t>Las casillas con fondo verde son imprescindibles para el cálculo de la retribución de la reforma</t>
  </si>
  <si>
    <t>Las casillas con fondo azul son necesarias para otros cálculos como recorte, rentabilidad, etc.</t>
  </si>
  <si>
    <t>Ingresos netos 2013</t>
  </si>
  <si>
    <t>% Recorte s/2013</t>
  </si>
  <si>
    <t xml:space="preserve">Precios actualizados de las tarifas según Reales Decretos (661/2007 y 1578/2008) para saber el precio tanto en 2013 como 2014 que </t>
  </si>
  <si>
    <t>DEBÍAMOS HABER PERCIBIDO POR EL MARCO NORMATIVO BAJO EL CUAL REALIZAMOS NUESTRAS INSTALACIONES</t>
  </si>
  <si>
    <t>Cálculo precios para tarifa regulada para RD 661</t>
  </si>
  <si>
    <t>Año</t>
  </si>
  <si>
    <t xml:space="preserve">IPC </t>
  </si>
  <si>
    <t>Detracción</t>
  </si>
  <si>
    <t xml:space="preserve">Total </t>
  </si>
  <si>
    <t xml:space="preserve">Tarifa </t>
  </si>
  <si>
    <t>Tarifa</t>
  </si>
  <si>
    <t>Oct.-Oct.</t>
  </si>
  <si>
    <t>%</t>
  </si>
  <si>
    <t>revalorizada</t>
  </si>
  <si>
    <t>Cálculo precios tarifa regulada para RD 1578</t>
  </si>
  <si>
    <t>Precio</t>
  </si>
  <si>
    <t>convocat.</t>
  </si>
  <si>
    <t>€/MWh</t>
  </si>
  <si>
    <t>Calculos para 2013</t>
  </si>
  <si>
    <t>Importe cobrado</t>
  </si>
  <si>
    <t>Precio medio estimado del pool desde el 14-07-2013 al 31-12-2013</t>
  </si>
  <si>
    <t>Cobro Neto</t>
  </si>
  <si>
    <t>Cobros percibidos por la energía vendida del 14-07-2013 al 31-12-2013</t>
  </si>
  <si>
    <t>Impuesto al valor generación de los ingresos del período del 14-07 al 31-12-2013</t>
  </si>
  <si>
    <t>Valor neto percibido del 14-07-2013 al 31-12-2013</t>
  </si>
  <si>
    <t>Produccion real instalacion desde el 14-07-2013 al 31-12-2013</t>
  </si>
  <si>
    <t>A regularizar del 2013</t>
  </si>
  <si>
    <t>Cobros percibidos por la energía vendida en todo el 2013</t>
  </si>
  <si>
    <t>Impuesto al valor generación de los ingresos de todo el 2013</t>
  </si>
  <si>
    <t>Valor neto percibido del 2013</t>
  </si>
  <si>
    <t>A regularizar</t>
  </si>
  <si>
    <t>Total neto 2013 final</t>
  </si>
  <si>
    <t>RECORTE REFORMA SOBRE DECRETO MARCO</t>
  </si>
  <si>
    <t>Reforma 2013</t>
  </si>
  <si>
    <t>RECORTE REFORMA DECRETO MARCO</t>
  </si>
  <si>
    <t>Producción real instalación en todo el 2013</t>
  </si>
  <si>
    <t>Ingresos 2013 regular.</t>
  </si>
  <si>
    <t>Ingresos 2013 TOTAL</t>
  </si>
  <si>
    <t>RECORTE DEL 2013 SOBRE DECRETO MARCO</t>
  </si>
  <si>
    <t>Nota: SI NUESTRA INSTALACIÓN ES DEL 1578, en el año de la convocatoria marcamos el precio en €/MWh.</t>
  </si>
  <si>
    <t>Si la instalación es del 1578 se debe rellenar en hoja del 2013, el precio otorgado en el año de la convocatoria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</si>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</sst>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\ &quot;€&quot;"/>
    <numFmt numFmtId="166" formatCode="#,##0.000\ &quot;€&quot;"/>
    <numFmt numFmtId="167" formatCode="0.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36"/>
      <color theme="3" tint="0.3999755851924192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165" fontId="0" fillId="0" borderId="0" xfId="0" applyNumberFormat="1" applyAlignment="1">
      <alignment vertical="center"/>
    </xf>
    <xf numFmtId="165" fontId="0" fillId="0" borderId="20" xfId="0" applyNumberFormat="1" applyBorder="1" applyAlignment="1">
      <alignment vertical="center"/>
    </xf>
    <xf numFmtId="165" fontId="1" fillId="0" borderId="21" xfId="0" applyNumberFormat="1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10" fontId="4" fillId="3" borderId="23" xfId="0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165" fontId="4" fillId="3" borderId="21" xfId="0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10" fontId="5" fillId="3" borderId="34" xfId="0" applyNumberFormat="1" applyFont="1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65" fontId="5" fillId="3" borderId="36" xfId="0" applyNumberFormat="1" applyFont="1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10" fontId="5" fillId="3" borderId="39" xfId="0" applyNumberFormat="1" applyFont="1" applyFill="1" applyBorder="1" applyAlignment="1">
      <alignment vertical="center"/>
    </xf>
    <xf numFmtId="3" fontId="1" fillId="5" borderId="5" xfId="0" applyNumberFormat="1" applyFont="1" applyFill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10" fontId="4" fillId="3" borderId="23" xfId="0" applyNumberFormat="1" applyFont="1" applyFill="1" applyBorder="1"/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6" fontId="1" fillId="3" borderId="45" xfId="0" applyNumberFormat="1" applyFont="1" applyFill="1" applyBorder="1" applyAlignment="1">
      <alignment vertical="center"/>
    </xf>
    <xf numFmtId="167" fontId="0" fillId="0" borderId="45" xfId="0" applyNumberFormat="1" applyBorder="1" applyAlignment="1">
      <alignment vertical="center"/>
    </xf>
    <xf numFmtId="166" fontId="0" fillId="0" borderId="46" xfId="0" applyNumberFormat="1" applyBorder="1" applyAlignment="1">
      <alignment vertical="center"/>
    </xf>
    <xf numFmtId="166" fontId="0" fillId="0" borderId="0" xfId="0" applyNumberFormat="1" applyFill="1" applyAlignment="1">
      <alignment vertical="center"/>
    </xf>
    <xf numFmtId="167" fontId="0" fillId="0" borderId="0" xfId="0" applyNumberFormat="1" applyFill="1" applyAlignment="1">
      <alignment vertical="center"/>
    </xf>
    <xf numFmtId="0" fontId="0" fillId="0" borderId="47" xfId="0" applyBorder="1" applyAlignment="1">
      <alignment horizontal="center" vertical="center"/>
    </xf>
    <xf numFmtId="166" fontId="1" fillId="3" borderId="48" xfId="0" applyNumberFormat="1" applyFont="1" applyFill="1" applyBorder="1" applyAlignment="1">
      <alignment vertical="center"/>
    </xf>
    <xf numFmtId="167" fontId="0" fillId="0" borderId="48" xfId="0" applyNumberFormat="1" applyBorder="1" applyAlignment="1">
      <alignment vertical="center"/>
    </xf>
    <xf numFmtId="166" fontId="0" fillId="0" borderId="49" xfId="0" applyNumberFormat="1" applyBorder="1" applyAlignment="1">
      <alignment vertical="center"/>
    </xf>
    <xf numFmtId="0" fontId="0" fillId="0" borderId="50" xfId="0" applyBorder="1" applyAlignment="1">
      <alignment horizontal="center" vertical="center"/>
    </xf>
    <xf numFmtId="166" fontId="1" fillId="3" borderId="51" xfId="0" applyNumberFormat="1" applyFont="1" applyFill="1" applyBorder="1" applyAlignment="1">
      <alignment vertical="center"/>
    </xf>
    <xf numFmtId="10" fontId="0" fillId="0" borderId="51" xfId="0" applyNumberFormat="1" applyBorder="1" applyAlignment="1">
      <alignment vertical="center"/>
    </xf>
    <xf numFmtId="166" fontId="0" fillId="0" borderId="52" xfId="0" applyNumberFormat="1" applyBorder="1" applyAlignment="1">
      <alignment vertical="center"/>
    </xf>
    <xf numFmtId="166" fontId="0" fillId="0" borderId="0" xfId="0" applyNumberFormat="1"/>
    <xf numFmtId="10" fontId="0" fillId="0" borderId="0" xfId="0" applyNumberFormat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/>
    </xf>
    <xf numFmtId="166" fontId="0" fillId="0" borderId="45" xfId="0" applyNumberFormat="1" applyBorder="1" applyAlignment="1">
      <alignment vertical="center"/>
    </xf>
    <xf numFmtId="166" fontId="0" fillId="6" borderId="48" xfId="0" applyNumberFormat="1" applyFill="1" applyBorder="1" applyAlignment="1">
      <alignment vertical="center"/>
    </xf>
    <xf numFmtId="166" fontId="0" fillId="0" borderId="48" xfId="0" applyNumberFormat="1" applyBorder="1" applyAlignment="1">
      <alignment vertical="center"/>
    </xf>
    <xf numFmtId="166" fontId="0" fillId="6" borderId="51" xfId="0" applyNumberFormat="1" applyFill="1" applyBorder="1" applyAlignment="1">
      <alignment vertical="center"/>
    </xf>
    <xf numFmtId="166" fontId="0" fillId="0" borderId="51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4" fontId="1" fillId="0" borderId="27" xfId="0" applyNumberFormat="1" applyFont="1" applyBorder="1" applyAlignment="1" applyProtection="1">
      <alignment horizontal="center" vertical="center"/>
    </xf>
    <xf numFmtId="165" fontId="4" fillId="3" borderId="23" xfId="0" applyNumberFormat="1" applyFont="1" applyFill="1" applyBorder="1"/>
    <xf numFmtId="165" fontId="0" fillId="0" borderId="0" xfId="0" applyNumberFormat="1"/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/>
    <xf numFmtId="0" fontId="2" fillId="7" borderId="0" xfId="0" applyFont="1" applyFill="1"/>
    <xf numFmtId="165" fontId="8" fillId="7" borderId="0" xfId="0" applyNumberFormat="1" applyFont="1" applyFill="1"/>
    <xf numFmtId="3" fontId="1" fillId="5" borderId="27" xfId="0" applyNumberFormat="1" applyFont="1" applyFill="1" applyBorder="1" applyAlignment="1">
      <alignment horizontal="center" vertical="center"/>
    </xf>
    <xf numFmtId="3" fontId="1" fillId="5" borderId="30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5" fontId="5" fillId="3" borderId="21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0" fillId="0" borderId="0" xfId="0" applyFill="1"/>
    <xf numFmtId="165" fontId="0" fillId="0" borderId="0" xfId="0" applyNumberFormat="1" applyFill="1"/>
    <xf numFmtId="10" fontId="4" fillId="3" borderId="0" xfId="0" applyNumberFormat="1" applyFont="1" applyFill="1" applyAlignment="1">
      <alignment vertical="center"/>
    </xf>
    <xf numFmtId="164" fontId="1" fillId="7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6" fontId="0" fillId="2" borderId="45" xfId="0" applyNumberFormat="1" applyFill="1" applyBorder="1" applyAlignment="1" applyProtection="1">
      <alignment vertical="center"/>
      <protection locked="0"/>
    </xf>
    <xf numFmtId="166" fontId="0" fillId="2" borderId="48" xfId="0" applyNumberFormat="1" applyFill="1" applyBorder="1" applyAlignment="1" applyProtection="1">
      <alignment vertical="center"/>
      <protection locked="0"/>
    </xf>
    <xf numFmtId="166" fontId="0" fillId="2" borderId="51" xfId="0" applyNumberForma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3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4" fontId="1" fillId="2" borderId="27" xfId="0" applyNumberFormat="1" applyFont="1" applyFill="1" applyBorder="1" applyAlignment="1" applyProtection="1">
      <alignment horizontal="center" vertical="center"/>
      <protection locked="0"/>
    </xf>
    <xf numFmtId="3" fontId="1" fillId="2" borderId="27" xfId="0" applyNumberFormat="1" applyFont="1" applyFill="1" applyBorder="1" applyAlignment="1" applyProtection="1">
      <alignment horizontal="center" vertical="center"/>
      <protection locked="0"/>
    </xf>
    <xf numFmtId="165" fontId="0" fillId="2" borderId="0" xfId="0" applyNumberFormat="1" applyFill="1" applyAlignment="1" applyProtection="1">
      <alignment vertical="center"/>
      <protection locked="0"/>
    </xf>
    <xf numFmtId="3" fontId="1" fillId="5" borderId="5" xfId="0" applyNumberFormat="1" applyFont="1" applyFill="1" applyBorder="1" applyAlignment="1" applyProtection="1">
      <alignment horizontal="center" vertical="center"/>
      <protection locked="0"/>
    </xf>
    <xf numFmtId="3" fontId="1" fillId="5" borderId="27" xfId="0" applyNumberFormat="1" applyFont="1" applyFill="1" applyBorder="1" applyAlignment="1" applyProtection="1">
      <alignment horizontal="center" vertical="center"/>
      <protection locked="0"/>
    </xf>
    <xf numFmtId="3" fontId="1" fillId="5" borderId="3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newinversor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twitter.com/newinverso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971549</xdr:colOff>
      <xdr:row>0</xdr:row>
      <xdr:rowOff>625740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981199" cy="62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624569</xdr:rowOff>
    </xdr:from>
    <xdr:to>
      <xdr:col>1</xdr:col>
      <xdr:colOff>1142999</xdr:colOff>
      <xdr:row>0</xdr:row>
      <xdr:rowOff>884028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569"/>
          <a:ext cx="2324099" cy="259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0</xdr:row>
      <xdr:rowOff>38100</xdr:rowOff>
    </xdr:from>
    <xdr:to>
      <xdr:col>3</xdr:col>
      <xdr:colOff>104775</xdr:colOff>
      <xdr:row>0</xdr:row>
      <xdr:rowOff>874460</xdr:rowOff>
    </xdr:to>
    <xdr:pic>
      <xdr:nvPicPr>
        <xdr:cNvPr id="5" name="4 Imagen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8100"/>
          <a:ext cx="1019175" cy="836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28575</xdr:rowOff>
    </xdr:from>
    <xdr:to>
      <xdr:col>1</xdr:col>
      <xdr:colOff>990600</xdr:colOff>
      <xdr:row>0</xdr:row>
      <xdr:rowOff>654315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28575"/>
          <a:ext cx="1981199" cy="62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1276350</xdr:colOff>
      <xdr:row>0</xdr:row>
      <xdr:rowOff>57150</xdr:rowOff>
    </xdr:from>
    <xdr:to>
      <xdr:col>3</xdr:col>
      <xdr:colOff>0</xdr:colOff>
      <xdr:row>0</xdr:row>
      <xdr:rowOff>893510</xdr:rowOff>
    </xdr:to>
    <xdr:pic>
      <xdr:nvPicPr>
        <xdr:cNvPr id="6" name="5 Imagen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57150"/>
          <a:ext cx="1019175" cy="836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19051</xdr:colOff>
      <xdr:row>0</xdr:row>
      <xdr:rowOff>653144</xdr:rowOff>
    </xdr:from>
    <xdr:to>
      <xdr:col>1</xdr:col>
      <xdr:colOff>1162050</xdr:colOff>
      <xdr:row>0</xdr:row>
      <xdr:rowOff>912603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653144"/>
          <a:ext cx="2324099" cy="259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tabSelected="1" topLeftCell="A52" workbookViewId="0">
      <selection activeCell="J57" sqref="J57"/>
    </sheetView>
  </sheetViews>
  <sheetFormatPr baseColWidth="10" defaultRowHeight="15" x14ac:dyDescent="0.25"/>
  <cols>
    <col min="1" max="1" width="17.7109375" customWidth="1"/>
    <col min="2" max="2" width="17.140625" customWidth="1"/>
    <col min="3" max="3" width="15.140625" customWidth="1"/>
    <col min="4" max="4" width="21.140625" customWidth="1"/>
    <col min="5" max="5" width="17.5703125" customWidth="1"/>
  </cols>
  <sheetData>
    <row r="1" spans="1:9" ht="102.75" customHeight="1" x14ac:dyDescent="0.35">
      <c r="A1" s="123" t="s">
        <v>0</v>
      </c>
      <c r="B1" s="123"/>
      <c r="C1" s="123"/>
      <c r="D1" s="123"/>
      <c r="E1" s="123"/>
      <c r="F1" s="123"/>
      <c r="G1" s="123"/>
      <c r="H1" s="123"/>
    </row>
    <row r="2" spans="1:9" ht="9" customHeight="1" x14ac:dyDescent="0.35">
      <c r="A2" s="49"/>
      <c r="B2" s="49"/>
      <c r="C2" s="49"/>
      <c r="D2" s="49"/>
      <c r="E2" s="49"/>
      <c r="F2" s="49"/>
      <c r="G2" s="49"/>
      <c r="H2" s="49"/>
    </row>
    <row r="3" spans="1:9" ht="18" customHeight="1" x14ac:dyDescent="0.25">
      <c r="A3" s="127">
        <v>2013</v>
      </c>
      <c r="B3" s="127"/>
      <c r="C3" s="127"/>
      <c r="D3" s="127"/>
      <c r="E3" s="127"/>
      <c r="F3" s="127"/>
      <c r="G3" s="127"/>
      <c r="H3" s="127"/>
    </row>
    <row r="4" spans="1:9" ht="18" customHeight="1" x14ac:dyDescent="0.25">
      <c r="A4" s="127"/>
      <c r="B4" s="127"/>
      <c r="C4" s="127"/>
      <c r="D4" s="127"/>
      <c r="E4" s="127"/>
      <c r="F4" s="127"/>
      <c r="G4" s="127"/>
      <c r="H4" s="127"/>
    </row>
    <row r="6" spans="1:9" s="3" customFormat="1" ht="18" customHeight="1" x14ac:dyDescent="0.25">
      <c r="A6" s="138" t="s">
        <v>49</v>
      </c>
      <c r="B6" s="138"/>
      <c r="C6" s="138"/>
      <c r="D6" s="138"/>
      <c r="E6" s="138"/>
      <c r="F6" s="138"/>
      <c r="G6" s="138"/>
      <c r="H6" s="138"/>
    </row>
    <row r="7" spans="1:9" ht="9" customHeight="1" x14ac:dyDescent="0.25"/>
    <row r="8" spans="1:9" s="3" customFormat="1" ht="18" customHeight="1" x14ac:dyDescent="0.25">
      <c r="A8" s="139" t="s">
        <v>50</v>
      </c>
      <c r="B8" s="139"/>
      <c r="C8" s="139"/>
      <c r="D8" s="139"/>
      <c r="E8" s="139"/>
      <c r="F8" s="139"/>
      <c r="G8" s="139"/>
      <c r="H8" s="139"/>
    </row>
    <row r="10" spans="1:9" ht="9" customHeight="1" x14ac:dyDescent="0.25"/>
    <row r="11" spans="1:9" x14ac:dyDescent="0.25">
      <c r="A11" s="140" t="s">
        <v>53</v>
      </c>
      <c r="B11" s="140"/>
      <c r="C11" s="140"/>
      <c r="D11" s="140"/>
      <c r="E11" s="140"/>
      <c r="F11" s="140"/>
      <c r="G11" s="140"/>
      <c r="H11" s="140"/>
    </row>
    <row r="12" spans="1:9" x14ac:dyDescent="0.25">
      <c r="A12" s="140" t="s">
        <v>54</v>
      </c>
      <c r="B12" s="140"/>
      <c r="C12" s="140"/>
      <c r="D12" s="140"/>
      <c r="E12" s="140"/>
      <c r="F12" s="140"/>
      <c r="G12" s="140"/>
      <c r="H12" s="140"/>
    </row>
    <row r="14" spans="1:9" ht="17.25" customHeight="1" x14ac:dyDescent="0.3">
      <c r="A14" s="129" t="s">
        <v>55</v>
      </c>
      <c r="B14" s="129"/>
      <c r="C14" s="129"/>
      <c r="D14" s="129"/>
      <c r="E14" s="129"/>
      <c r="F14" s="129"/>
    </row>
    <row r="15" spans="1:9" ht="15.75" thickBot="1" x14ac:dyDescent="0.3"/>
    <row r="16" spans="1:9" s="3" customFormat="1" ht="18" customHeight="1" x14ac:dyDescent="0.25">
      <c r="A16" s="141" t="s">
        <v>56</v>
      </c>
      <c r="B16" s="56" t="s">
        <v>61</v>
      </c>
      <c r="C16" s="56" t="s">
        <v>57</v>
      </c>
      <c r="D16" s="130" t="s">
        <v>58</v>
      </c>
      <c r="E16" s="56" t="s">
        <v>59</v>
      </c>
      <c r="F16" s="57" t="s">
        <v>60</v>
      </c>
      <c r="G16" s="58"/>
      <c r="H16" s="58"/>
      <c r="I16" s="58"/>
    </row>
    <row r="17" spans="1:9" s="3" customFormat="1" ht="18" customHeight="1" thickBot="1" x14ac:dyDescent="0.3">
      <c r="A17" s="142"/>
      <c r="B17" s="59" t="s">
        <v>26</v>
      </c>
      <c r="C17" s="59" t="s">
        <v>62</v>
      </c>
      <c r="D17" s="131"/>
      <c r="E17" s="59" t="s">
        <v>63</v>
      </c>
      <c r="F17" s="60" t="s">
        <v>64</v>
      </c>
      <c r="G17" s="58"/>
      <c r="H17" s="58"/>
      <c r="I17" s="58"/>
    </row>
    <row r="18" spans="1:9" s="3" customFormat="1" ht="18" customHeight="1" thickBot="1" x14ac:dyDescent="0.3">
      <c r="G18" s="58"/>
      <c r="H18" s="58"/>
      <c r="I18" s="58"/>
    </row>
    <row r="19" spans="1:9" s="3" customFormat="1" ht="18" customHeight="1" x14ac:dyDescent="0.25">
      <c r="A19" s="61">
        <v>2011</v>
      </c>
      <c r="B19" s="62">
        <v>475.59699999999998</v>
      </c>
      <c r="C19" s="63">
        <v>3.0130000000000001E-2</v>
      </c>
      <c r="D19" s="63">
        <v>-2.5000000000000001E-3</v>
      </c>
      <c r="E19" s="63">
        <f>C19+D19</f>
        <v>2.7630000000000002E-2</v>
      </c>
      <c r="F19" s="64">
        <f>B19+(B19*E19)</f>
        <v>488.73774510999999</v>
      </c>
      <c r="G19" s="65"/>
      <c r="H19" s="66"/>
      <c r="I19" s="66"/>
    </row>
    <row r="20" spans="1:9" s="3" customFormat="1" ht="18" customHeight="1" x14ac:dyDescent="0.25">
      <c r="A20" s="67">
        <v>2012</v>
      </c>
      <c r="B20" s="68">
        <f>F19</f>
        <v>488.73774510999999</v>
      </c>
      <c r="C20" s="69">
        <v>3.4759999999999999E-2</v>
      </c>
      <c r="D20" s="69">
        <v>-5.0000000000000001E-3</v>
      </c>
      <c r="E20" s="69">
        <f t="shared" ref="E20:E21" si="0">C20+D20</f>
        <v>2.9759999999999998E-2</v>
      </c>
      <c r="F20" s="70">
        <f t="shared" ref="F20:F21" si="1">B20+(B20*E20)</f>
        <v>503.28258040447361</v>
      </c>
      <c r="G20" s="58"/>
      <c r="H20" s="58"/>
      <c r="I20" s="58"/>
    </row>
    <row r="21" spans="1:9" s="3" customFormat="1" ht="18" customHeight="1" x14ac:dyDescent="0.25">
      <c r="A21" s="67">
        <v>2013</v>
      </c>
      <c r="B21" s="68">
        <f>F20</f>
        <v>503.28258040447361</v>
      </c>
      <c r="C21" s="69">
        <v>-1E-3</v>
      </c>
      <c r="D21" s="69">
        <v>-5.0000000000000001E-3</v>
      </c>
      <c r="E21" s="69">
        <f t="shared" si="0"/>
        <v>-6.0000000000000001E-3</v>
      </c>
      <c r="F21" s="70">
        <f t="shared" si="1"/>
        <v>500.26288492204674</v>
      </c>
    </row>
    <row r="22" spans="1:9" s="3" customFormat="1" ht="18" customHeight="1" thickBot="1" x14ac:dyDescent="0.3">
      <c r="A22" s="71">
        <v>2014</v>
      </c>
      <c r="B22" s="72">
        <f>F21</f>
        <v>500.26288492204674</v>
      </c>
      <c r="C22" s="73"/>
      <c r="D22" s="73"/>
      <c r="E22" s="73"/>
      <c r="F22" s="74"/>
    </row>
    <row r="23" spans="1:9" x14ac:dyDescent="0.25">
      <c r="B23" s="75"/>
      <c r="C23" s="76"/>
      <c r="D23" s="76"/>
      <c r="E23" s="76"/>
      <c r="F23" s="75"/>
    </row>
    <row r="24" spans="1:9" ht="10.5" customHeight="1" x14ac:dyDescent="0.25">
      <c r="B24" s="75"/>
      <c r="C24" s="76"/>
      <c r="D24" s="76"/>
      <c r="E24" s="76"/>
      <c r="F24" s="75"/>
    </row>
    <row r="25" spans="1:9" ht="18.75" x14ac:dyDescent="0.3">
      <c r="A25" s="129" t="s">
        <v>65</v>
      </c>
      <c r="B25" s="129"/>
      <c r="C25" s="129"/>
      <c r="D25" s="129"/>
      <c r="E25" s="129"/>
      <c r="F25" s="129"/>
      <c r="G25" s="129"/>
    </row>
    <row r="26" spans="1:9" ht="15.75" thickBot="1" x14ac:dyDescent="0.3"/>
    <row r="27" spans="1:9" ht="18" customHeight="1" x14ac:dyDescent="0.25">
      <c r="A27" s="77" t="s">
        <v>56</v>
      </c>
      <c r="B27" s="78" t="s">
        <v>66</v>
      </c>
      <c r="C27" s="130">
        <v>2010</v>
      </c>
      <c r="D27" s="130">
        <v>2011</v>
      </c>
      <c r="E27" s="130">
        <v>2012</v>
      </c>
      <c r="F27" s="130">
        <v>2013</v>
      </c>
      <c r="G27" s="132">
        <v>2014</v>
      </c>
    </row>
    <row r="28" spans="1:9" ht="18" customHeight="1" thickBot="1" x14ac:dyDescent="0.3">
      <c r="A28" s="79" t="s">
        <v>67</v>
      </c>
      <c r="B28" s="80" t="s">
        <v>68</v>
      </c>
      <c r="C28" s="131"/>
      <c r="D28" s="131"/>
      <c r="E28" s="131"/>
      <c r="F28" s="131"/>
      <c r="G28" s="133"/>
    </row>
    <row r="29" spans="1:9" ht="18" customHeight="1" thickBot="1" x14ac:dyDescent="0.3"/>
    <row r="30" spans="1:9" ht="18" customHeight="1" x14ac:dyDescent="0.25">
      <c r="A30" s="61">
        <v>2009</v>
      </c>
      <c r="B30" s="109"/>
      <c r="C30" s="81" t="str">
        <f>IF(B30=0," ",B30)</f>
        <v xml:space="preserve"> </v>
      </c>
      <c r="D30" s="81" t="str">
        <f>IF($B30=0," ",$B30+($B30*2.082%))</f>
        <v xml:space="preserve"> </v>
      </c>
      <c r="E30" s="81" t="str">
        <f>IF($B30=0," ",$B30+($B30*4.904%))</f>
        <v xml:space="preserve"> </v>
      </c>
      <c r="F30" s="81" t="str">
        <f>IF($B30=0," ",$B30+($B30*8.025%))</f>
        <v xml:space="preserve"> </v>
      </c>
      <c r="G30" s="64" t="str">
        <f>IF($B30=0," ",$B30+($B30*7.377%))</f>
        <v xml:space="preserve"> </v>
      </c>
    </row>
    <row r="31" spans="1:9" ht="18" customHeight="1" x14ac:dyDescent="0.25">
      <c r="A31" s="67">
        <v>2010</v>
      </c>
      <c r="B31" s="110"/>
      <c r="C31" s="82"/>
      <c r="D31" s="83" t="str">
        <f>IF(B31=0," ",B31)</f>
        <v xml:space="preserve"> </v>
      </c>
      <c r="E31" s="83" t="str">
        <f>IF($B31=0," ",$B31+($B31*2.763%))</f>
        <v xml:space="preserve"> </v>
      </c>
      <c r="F31" s="83" t="str">
        <f>IF($B31=0," ",$B31+($B31*5.821%))</f>
        <v xml:space="preserve"> </v>
      </c>
      <c r="G31" s="70" t="str">
        <f>IF($B31=0," ",$B31+($B31*5.186%))</f>
        <v xml:space="preserve"> </v>
      </c>
    </row>
    <row r="32" spans="1:9" ht="18" customHeight="1" thickBot="1" x14ac:dyDescent="0.3">
      <c r="A32" s="71">
        <v>2011</v>
      </c>
      <c r="B32" s="111"/>
      <c r="C32" s="84"/>
      <c r="D32" s="84"/>
      <c r="E32" s="85" t="str">
        <f>IF(B31=0," ",B31)</f>
        <v xml:space="preserve"> </v>
      </c>
      <c r="F32" s="85" t="str">
        <f>IF($B32=0," ",$B32+($B32*2.976%))</f>
        <v xml:space="preserve"> </v>
      </c>
      <c r="G32" s="74" t="str">
        <f>IF($B32=0," ",$B32+($B32*2.358%))</f>
        <v xml:space="preserve"> </v>
      </c>
    </row>
    <row r="34" spans="1:8" x14ac:dyDescent="0.25">
      <c r="A34" s="128" t="s">
        <v>90</v>
      </c>
      <c r="B34" s="128"/>
      <c r="C34" s="128"/>
      <c r="D34" s="128"/>
      <c r="E34" s="128"/>
      <c r="F34" s="128"/>
      <c r="G34" s="128"/>
    </row>
    <row r="37" spans="1:8" ht="18" customHeight="1" x14ac:dyDescent="0.25">
      <c r="A37" t="s">
        <v>69</v>
      </c>
    </row>
    <row r="38" spans="1:8" ht="18" customHeight="1" thickBot="1" x14ac:dyDescent="0.3"/>
    <row r="39" spans="1:8" s="3" customFormat="1" ht="18" customHeight="1" thickBot="1" x14ac:dyDescent="0.3">
      <c r="A39" s="1" t="s">
        <v>1</v>
      </c>
      <c r="B39" s="51" t="s">
        <v>2</v>
      </c>
      <c r="C39" s="51" t="s">
        <v>3</v>
      </c>
      <c r="D39" s="124" t="s">
        <v>4</v>
      </c>
      <c r="E39" s="125"/>
      <c r="F39" s="125"/>
      <c r="G39" s="125"/>
      <c r="H39" s="126"/>
    </row>
    <row r="40" spans="1:8" s="3" customFormat="1" ht="18" customHeight="1" thickBot="1" x14ac:dyDescent="0.3"/>
    <row r="41" spans="1:8" s="3" customFormat="1" x14ac:dyDescent="0.25">
      <c r="A41" s="4" t="s">
        <v>5</v>
      </c>
      <c r="B41" s="112"/>
      <c r="C41" s="5"/>
      <c r="D41" s="6" t="s">
        <v>6</v>
      </c>
      <c r="E41" s="6"/>
      <c r="F41" s="6"/>
      <c r="G41" s="6"/>
      <c r="H41" s="7"/>
    </row>
    <row r="42" spans="1:8" s="3" customFormat="1" x14ac:dyDescent="0.25">
      <c r="A42" s="8" t="s">
        <v>7</v>
      </c>
      <c r="B42" s="113"/>
      <c r="C42" s="9"/>
      <c r="D42" s="10" t="s">
        <v>8</v>
      </c>
      <c r="E42" s="10"/>
      <c r="F42" s="10"/>
      <c r="G42" s="10"/>
      <c r="H42" s="11"/>
    </row>
    <row r="43" spans="1:8" s="3" customFormat="1" x14ac:dyDescent="0.25">
      <c r="A43" s="12" t="s">
        <v>9</v>
      </c>
      <c r="B43" s="114"/>
      <c r="C43" s="52" t="s">
        <v>10</v>
      </c>
      <c r="D43" s="14" t="s">
        <v>11</v>
      </c>
      <c r="E43" s="14"/>
      <c r="F43" s="14"/>
      <c r="G43" s="14"/>
      <c r="H43" s="15"/>
    </row>
    <row r="44" spans="1:8" s="3" customFormat="1" ht="18" customHeight="1" x14ac:dyDescent="0.25">
      <c r="A44" s="12" t="s">
        <v>12</v>
      </c>
      <c r="B44" s="115"/>
      <c r="C44" s="13"/>
      <c r="D44" s="14" t="s">
        <v>13</v>
      </c>
      <c r="E44" s="14"/>
      <c r="F44" s="14"/>
      <c r="G44" s="14"/>
      <c r="H44" s="15"/>
    </row>
    <row r="45" spans="1:8" s="3" customFormat="1" ht="18" customHeight="1" x14ac:dyDescent="0.25">
      <c r="A45" s="12" t="s">
        <v>14</v>
      </c>
      <c r="B45" s="115"/>
      <c r="C45" s="13" t="s">
        <v>15</v>
      </c>
      <c r="D45" s="14" t="s">
        <v>16</v>
      </c>
      <c r="E45" s="14"/>
      <c r="F45" s="14"/>
      <c r="G45" s="14"/>
      <c r="H45" s="15"/>
    </row>
    <row r="46" spans="1:8" s="3" customFormat="1" ht="18" customHeight="1" x14ac:dyDescent="0.25">
      <c r="A46" s="12" t="s">
        <v>17</v>
      </c>
      <c r="B46" s="116"/>
      <c r="C46" s="13" t="s">
        <v>18</v>
      </c>
      <c r="D46" s="14" t="s">
        <v>19</v>
      </c>
      <c r="E46" s="14"/>
      <c r="F46" s="14"/>
      <c r="G46" s="14"/>
      <c r="H46" s="15"/>
    </row>
    <row r="47" spans="1:8" s="3" customFormat="1" ht="18" customHeight="1" x14ac:dyDescent="0.25">
      <c r="A47" s="12" t="s">
        <v>20</v>
      </c>
      <c r="B47" s="115"/>
      <c r="C47" s="13" t="s">
        <v>21</v>
      </c>
      <c r="D47" s="14" t="s">
        <v>76</v>
      </c>
      <c r="E47" s="14"/>
      <c r="F47" s="14"/>
      <c r="G47" s="14"/>
      <c r="H47" s="15"/>
    </row>
    <row r="48" spans="1:8" s="3" customFormat="1" ht="18" customHeight="1" x14ac:dyDescent="0.25">
      <c r="A48" s="12" t="s">
        <v>23</v>
      </c>
      <c r="B48" s="48">
        <v>53.789000000000001</v>
      </c>
      <c r="C48" s="13" t="s">
        <v>18</v>
      </c>
      <c r="D48" s="14" t="s">
        <v>71</v>
      </c>
      <c r="E48" s="14"/>
      <c r="F48" s="14"/>
      <c r="G48" s="14"/>
      <c r="H48" s="15"/>
    </row>
    <row r="49" spans="1:8" s="3" customFormat="1" ht="18" customHeight="1" x14ac:dyDescent="0.25">
      <c r="A49" s="86" t="s">
        <v>70</v>
      </c>
      <c r="B49" s="117"/>
      <c r="C49" s="87" t="s">
        <v>41</v>
      </c>
      <c r="D49" s="88" t="s">
        <v>73</v>
      </c>
      <c r="E49" s="88"/>
      <c r="F49" s="88"/>
      <c r="G49" s="88"/>
      <c r="H49" s="89"/>
    </row>
    <row r="50" spans="1:8" s="3" customFormat="1" ht="18" customHeight="1" x14ac:dyDescent="0.25">
      <c r="A50" s="86" t="s">
        <v>36</v>
      </c>
      <c r="B50" s="90" t="str">
        <f>IF(B49=0," ",B49*7%)</f>
        <v xml:space="preserve"> </v>
      </c>
      <c r="C50" s="87" t="s">
        <v>41</v>
      </c>
      <c r="D50" s="88" t="s">
        <v>74</v>
      </c>
      <c r="E50" s="88"/>
      <c r="F50" s="88"/>
      <c r="G50" s="88"/>
      <c r="H50" s="89"/>
    </row>
    <row r="51" spans="1:8" s="3" customFormat="1" ht="18" customHeight="1" x14ac:dyDescent="0.25">
      <c r="A51" s="86" t="s">
        <v>72</v>
      </c>
      <c r="B51" s="90" t="str">
        <f>IF(B49=0," ",B49-B50)</f>
        <v xml:space="preserve"> </v>
      </c>
      <c r="C51" s="87" t="s">
        <v>41</v>
      </c>
      <c r="D51" s="88" t="s">
        <v>75</v>
      </c>
      <c r="E51" s="88"/>
      <c r="F51" s="88"/>
      <c r="G51" s="88"/>
      <c r="H51" s="89"/>
    </row>
    <row r="52" spans="1:8" s="3" customFormat="1" ht="18" customHeight="1" x14ac:dyDescent="0.25">
      <c r="A52" s="86" t="s">
        <v>20</v>
      </c>
      <c r="B52" s="118"/>
      <c r="C52" s="87" t="s">
        <v>21</v>
      </c>
      <c r="D52" s="88" t="s">
        <v>86</v>
      </c>
      <c r="E52" s="88"/>
      <c r="F52" s="88"/>
      <c r="G52" s="88"/>
      <c r="H52" s="89"/>
    </row>
    <row r="53" spans="1:8" s="3" customFormat="1" ht="18" customHeight="1" x14ac:dyDescent="0.25">
      <c r="A53" s="86" t="s">
        <v>70</v>
      </c>
      <c r="B53" s="117"/>
      <c r="C53" s="87" t="s">
        <v>41</v>
      </c>
      <c r="D53" s="88" t="s">
        <v>78</v>
      </c>
      <c r="E53" s="88"/>
      <c r="F53" s="88"/>
      <c r="G53" s="88"/>
      <c r="H53" s="89"/>
    </row>
    <row r="54" spans="1:8" s="3" customFormat="1" ht="18" customHeight="1" x14ac:dyDescent="0.25">
      <c r="A54" s="86" t="s">
        <v>36</v>
      </c>
      <c r="B54" s="90" t="str">
        <f>IF(B53=0," ",B53*7%)</f>
        <v xml:space="preserve"> </v>
      </c>
      <c r="C54" s="87" t="s">
        <v>41</v>
      </c>
      <c r="D54" s="88" t="s">
        <v>79</v>
      </c>
      <c r="E54" s="88"/>
      <c r="F54" s="88"/>
      <c r="G54" s="88"/>
      <c r="H54" s="89"/>
    </row>
    <row r="55" spans="1:8" s="3" customFormat="1" ht="18" customHeight="1" x14ac:dyDescent="0.25">
      <c r="A55" s="86" t="s">
        <v>72</v>
      </c>
      <c r="B55" s="90" t="str">
        <f>IF(B53=0," ",B53-B54)</f>
        <v xml:space="preserve"> </v>
      </c>
      <c r="C55" s="87" t="s">
        <v>41</v>
      </c>
      <c r="D55" s="88" t="s">
        <v>80</v>
      </c>
      <c r="E55" s="88"/>
      <c r="F55" s="88"/>
      <c r="G55" s="88"/>
      <c r="H55" s="89"/>
    </row>
    <row r="56" spans="1:8" s="3" customFormat="1" ht="18" customHeight="1" thickBot="1" x14ac:dyDescent="0.3">
      <c r="A56" s="16" t="s">
        <v>25</v>
      </c>
      <c r="B56" s="99">
        <f>IF(B41=661,B21,SUM(F30:F32))</f>
        <v>0</v>
      </c>
      <c r="C56" s="17" t="s">
        <v>26</v>
      </c>
      <c r="D56" s="18" t="s">
        <v>27</v>
      </c>
      <c r="E56" s="18"/>
      <c r="F56" s="18"/>
      <c r="G56" s="18"/>
      <c r="H56" s="19"/>
    </row>
    <row r="57" spans="1:8" s="3" customFormat="1" ht="18" customHeight="1" x14ac:dyDescent="0.25">
      <c r="B57" s="20"/>
      <c r="C57" s="21"/>
    </row>
    <row r="58" spans="1:8" s="3" customFormat="1" ht="18" customHeight="1" x14ac:dyDescent="0.25">
      <c r="B58" s="20"/>
      <c r="C58" s="21"/>
    </row>
    <row r="60" spans="1:8" x14ac:dyDescent="0.25">
      <c r="A60" s="22" t="s">
        <v>28</v>
      </c>
      <c r="D60" s="22" t="s">
        <v>83</v>
      </c>
    </row>
    <row r="62" spans="1:8" s="3" customFormat="1" ht="18" customHeight="1" x14ac:dyDescent="0.25">
      <c r="A62" s="3" t="s">
        <v>29</v>
      </c>
      <c r="B62" s="23" t="str">
        <f>IF(B43=0, " ",(($B$45/1000)*$B$43))</f>
        <v xml:space="preserve"> </v>
      </c>
      <c r="D62" s="3" t="s">
        <v>30</v>
      </c>
      <c r="E62" s="23" t="str">
        <f>IF(B47=0," ",($B$47*$B$56)/1000)</f>
        <v xml:space="preserve"> </v>
      </c>
    </row>
    <row r="63" spans="1:8" s="3" customFormat="1" ht="18" customHeight="1" x14ac:dyDescent="0.25">
      <c r="A63" s="3" t="s">
        <v>31</v>
      </c>
      <c r="B63" s="23" t="str">
        <f>IF(B47=0," ",IF((B47/B43)&gt;B44,((B44*B43)/1000)*B46,(B47/1000)*B46))</f>
        <v xml:space="preserve"> </v>
      </c>
      <c r="D63" s="3" t="s">
        <v>84</v>
      </c>
      <c r="E63" s="23" t="str">
        <f>IF(B67&gt;0,B67," ")</f>
        <v xml:space="preserve"> </v>
      </c>
    </row>
    <row r="64" spans="1:8" s="3" customFormat="1" ht="18" customHeight="1" thickBot="1" x14ac:dyDescent="0.3">
      <c r="A64" s="3" t="s">
        <v>33</v>
      </c>
      <c r="B64" s="24" t="str">
        <f>IF(B47=0," ",(($B$47/1000)*$B$48))</f>
        <v xml:space="preserve"> </v>
      </c>
      <c r="D64" s="3" t="s">
        <v>34</v>
      </c>
      <c r="E64" s="100" t="str">
        <f>IF(E62=" "," ",E63-E62)</f>
        <v xml:space="preserve"> </v>
      </c>
      <c r="F64" s="106" t="str">
        <f>IF(E64=" "," ",E64/E62)</f>
        <v xml:space="preserve"> </v>
      </c>
    </row>
    <row r="65" spans="1:6" s="3" customFormat="1" ht="18" customHeight="1" thickTop="1" thickBot="1" x14ac:dyDescent="0.3">
      <c r="A65" s="3" t="s">
        <v>35</v>
      </c>
      <c r="B65" s="25" t="str">
        <f>IF(B62=" "," ",SUM(B62:B64))</f>
        <v xml:space="preserve"> </v>
      </c>
    </row>
    <row r="66" spans="1:6" s="3" customFormat="1" ht="18" customHeight="1" thickTop="1" thickBot="1" x14ac:dyDescent="0.3">
      <c r="A66" s="3" t="s">
        <v>36</v>
      </c>
      <c r="B66" s="23" t="str">
        <f>IF(B65=" "," ",(-B65*7%))</f>
        <v xml:space="preserve"> </v>
      </c>
      <c r="D66" s="3" t="s">
        <v>87</v>
      </c>
      <c r="E66" s="101" t="str">
        <f>IF(B49=0," ",B51)</f>
        <v xml:space="preserve"> </v>
      </c>
    </row>
    <row r="67" spans="1:6" s="3" customFormat="1" ht="18" customHeight="1" thickBot="1" x14ac:dyDescent="0.35">
      <c r="A67" s="28" t="s">
        <v>38</v>
      </c>
      <c r="B67" s="29" t="str">
        <f>IF(B65=" "," ",(B65+B66))</f>
        <v xml:space="preserve"> </v>
      </c>
      <c r="D67" s="54" t="s">
        <v>77</v>
      </c>
      <c r="E67" s="91" t="str">
        <f>IF(E66=" "," ",B67-E66)</f>
        <v xml:space="preserve"> </v>
      </c>
    </row>
    <row r="68" spans="1:6" ht="15.75" thickTop="1" x14ac:dyDescent="0.25">
      <c r="D68" s="102"/>
      <c r="E68" s="103"/>
    </row>
    <row r="69" spans="1:6" x14ac:dyDescent="0.25">
      <c r="D69" s="93" t="s">
        <v>88</v>
      </c>
      <c r="E69" s="94" t="str">
        <f>IF(B53=0," ",B55)</f>
        <v xml:space="preserve"> </v>
      </c>
    </row>
    <row r="70" spans="1:6" x14ac:dyDescent="0.25">
      <c r="D70" t="s">
        <v>81</v>
      </c>
      <c r="E70" s="92" t="str">
        <f>E67</f>
        <v xml:space="preserve"> </v>
      </c>
    </row>
    <row r="71" spans="1:6" ht="18.75" x14ac:dyDescent="0.3">
      <c r="D71" s="95" t="s">
        <v>82</v>
      </c>
      <c r="E71" s="96" t="str">
        <f>IF(E69=" "," ",E70+E69)</f>
        <v xml:space="preserve"> </v>
      </c>
    </row>
    <row r="72" spans="1:6" x14ac:dyDescent="0.25">
      <c r="D72" s="104"/>
      <c r="E72" s="105"/>
    </row>
    <row r="73" spans="1:6" x14ac:dyDescent="0.25">
      <c r="D73" s="104"/>
      <c r="E73" s="105"/>
    </row>
    <row r="74" spans="1:6" x14ac:dyDescent="0.25">
      <c r="D74" s="22" t="s">
        <v>89</v>
      </c>
    </row>
    <row r="76" spans="1:6" x14ac:dyDescent="0.25">
      <c r="D76" s="3" t="s">
        <v>30</v>
      </c>
      <c r="E76" s="23" t="str">
        <f>IF(B52=0," ",($B$52*$B$56)/1000)</f>
        <v xml:space="preserve"> </v>
      </c>
      <c r="F76" s="3"/>
    </row>
    <row r="77" spans="1:6" x14ac:dyDescent="0.25">
      <c r="D77" s="3" t="s">
        <v>84</v>
      </c>
      <c r="E77" s="23" t="str">
        <f>IF(E71=" "," ",E71)</f>
        <v xml:space="preserve"> </v>
      </c>
      <c r="F77" s="3"/>
    </row>
    <row r="78" spans="1:6" ht="19.5" thickBot="1" x14ac:dyDescent="0.3">
      <c r="D78" s="3" t="s">
        <v>34</v>
      </c>
      <c r="E78" s="100" t="str">
        <f>IF(E76=" "," ",E77-E76)</f>
        <v xml:space="preserve"> </v>
      </c>
      <c r="F78" s="106" t="str">
        <f>IF(E78=" "," ",E78/E76)</f>
        <v xml:space="preserve"> </v>
      </c>
    </row>
    <row r="79" spans="1:6" ht="15.75" thickTop="1" x14ac:dyDescent="0.25">
      <c r="E79" s="92"/>
    </row>
    <row r="80" spans="1:6" x14ac:dyDescent="0.25">
      <c r="A80" s="22" t="s">
        <v>39</v>
      </c>
      <c r="E80" s="92"/>
    </row>
    <row r="81" spans="1:8" ht="15.75" thickBot="1" x14ac:dyDescent="0.3"/>
    <row r="82" spans="1:8" s="3" customFormat="1" ht="18" customHeight="1" thickBot="1" x14ac:dyDescent="0.3">
      <c r="A82" s="1" t="s">
        <v>1</v>
      </c>
      <c r="B82" s="2" t="s">
        <v>2</v>
      </c>
      <c r="C82" s="2" t="s">
        <v>3</v>
      </c>
      <c r="D82" s="124" t="s">
        <v>4</v>
      </c>
      <c r="E82" s="125"/>
      <c r="F82" s="125"/>
      <c r="G82" s="125"/>
      <c r="H82" s="126"/>
    </row>
    <row r="83" spans="1:8" s="3" customFormat="1" ht="9" customHeight="1" thickBot="1" x14ac:dyDescent="0.3"/>
    <row r="84" spans="1:8" s="3" customFormat="1" ht="18" customHeight="1" x14ac:dyDescent="0.25">
      <c r="A84" s="31" t="s">
        <v>40</v>
      </c>
      <c r="B84" s="47"/>
      <c r="C84" s="32" t="s">
        <v>41</v>
      </c>
      <c r="D84" s="5" t="s">
        <v>42</v>
      </c>
      <c r="E84" s="5"/>
      <c r="F84" s="5"/>
      <c r="G84" s="33"/>
      <c r="H84" s="7"/>
    </row>
    <row r="85" spans="1:8" s="3" customFormat="1" ht="18" customHeight="1" x14ac:dyDescent="0.25">
      <c r="A85" s="134" t="s">
        <v>43</v>
      </c>
      <c r="B85" s="97"/>
      <c r="C85" s="136" t="s">
        <v>41</v>
      </c>
      <c r="D85" s="34" t="s">
        <v>44</v>
      </c>
      <c r="E85" s="34"/>
      <c r="F85" s="34"/>
      <c r="G85" s="34"/>
      <c r="H85" s="35"/>
    </row>
    <row r="86" spans="1:8" s="3" customFormat="1" ht="18" customHeight="1" thickBot="1" x14ac:dyDescent="0.3">
      <c r="A86" s="135"/>
      <c r="B86" s="98"/>
      <c r="C86" s="137"/>
      <c r="D86" s="36" t="s">
        <v>45</v>
      </c>
      <c r="E86" s="36"/>
      <c r="F86" s="36"/>
      <c r="G86" s="36"/>
      <c r="H86" s="37"/>
    </row>
    <row r="88" spans="1:8" ht="15.75" thickBot="1" x14ac:dyDescent="0.3"/>
    <row r="89" spans="1:8" s="3" customFormat="1" ht="18" customHeight="1" x14ac:dyDescent="0.25">
      <c r="A89" s="38" t="s">
        <v>46</v>
      </c>
      <c r="B89" s="39"/>
      <c r="C89" s="40" t="str">
        <f>IF(E71=" "," ",(E71/B84))</f>
        <v xml:space="preserve"> </v>
      </c>
    </row>
    <row r="90" spans="1:8" s="3" customFormat="1" ht="18" customHeight="1" x14ac:dyDescent="0.25">
      <c r="A90" s="41" t="s">
        <v>47</v>
      </c>
      <c r="B90" s="42"/>
      <c r="C90" s="43" t="str">
        <f>IF(E71=" "," ",E71-B85)</f>
        <v xml:space="preserve"> </v>
      </c>
    </row>
    <row r="91" spans="1:8" s="3" customFormat="1" ht="18" customHeight="1" thickBot="1" x14ac:dyDescent="0.3">
      <c r="A91" s="44" t="s">
        <v>48</v>
      </c>
      <c r="B91" s="45"/>
      <c r="C91" s="46" t="str">
        <f>IF(C90=" "," ",C90/B84)</f>
        <v xml:space="preserve"> </v>
      </c>
    </row>
    <row r="92" spans="1:8" s="3" customFormat="1" ht="18" customHeight="1" x14ac:dyDescent="0.25"/>
  </sheetData>
  <sheetProtection password="9F98" sheet="1" objects="1" scenarios="1"/>
  <mergeCells count="20">
    <mergeCell ref="D82:H82"/>
    <mergeCell ref="A85:A86"/>
    <mergeCell ref="C85:C86"/>
    <mergeCell ref="A6:H6"/>
    <mergeCell ref="A8:H8"/>
    <mergeCell ref="A11:H11"/>
    <mergeCell ref="A12:H12"/>
    <mergeCell ref="A14:F14"/>
    <mergeCell ref="A16:A17"/>
    <mergeCell ref="D16:D17"/>
    <mergeCell ref="A1:H1"/>
    <mergeCell ref="D39:H39"/>
    <mergeCell ref="A3:H4"/>
    <mergeCell ref="A34:G34"/>
    <mergeCell ref="A25:G25"/>
    <mergeCell ref="C27:C28"/>
    <mergeCell ref="D27:D28"/>
    <mergeCell ref="E27:E28"/>
    <mergeCell ref="F27:F28"/>
    <mergeCell ref="G27:G28"/>
  </mergeCells>
  <pageMargins left="0.70866141732283472" right="0.70866141732283472" top="0.35433070866141736" bottom="0.19685039370078741" header="0.31496062992125984" footer="0.11811023622047245"/>
  <pageSetup paperSize="9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Normal="100" workbookViewId="0">
      <selection activeCell="L4" sqref="L4"/>
    </sheetView>
  </sheetViews>
  <sheetFormatPr baseColWidth="10" defaultRowHeight="15" x14ac:dyDescent="0.25"/>
  <cols>
    <col min="1" max="1" width="17.7109375" customWidth="1"/>
    <col min="2" max="2" width="19.28515625" bestFit="1" customWidth="1"/>
    <col min="3" max="3" width="15.140625" customWidth="1"/>
    <col min="4" max="4" width="21.140625" customWidth="1"/>
    <col min="5" max="5" width="17.5703125" customWidth="1"/>
  </cols>
  <sheetData>
    <row r="1" spans="1:8" ht="101.25" customHeight="1" x14ac:dyDescent="0.35">
      <c r="A1" s="123" t="s">
        <v>0</v>
      </c>
      <c r="B1" s="123"/>
      <c r="C1" s="123"/>
      <c r="D1" s="123"/>
      <c r="E1" s="123"/>
      <c r="F1" s="123"/>
      <c r="G1" s="123"/>
      <c r="H1" s="123"/>
    </row>
    <row r="2" spans="1:8" ht="9.75" customHeight="1" x14ac:dyDescent="0.35">
      <c r="A2" s="50"/>
      <c r="B2" s="50"/>
      <c r="C2" s="50"/>
      <c r="D2" s="50"/>
      <c r="E2" s="50"/>
      <c r="F2" s="50"/>
      <c r="G2" s="50"/>
      <c r="H2" s="50"/>
    </row>
    <row r="3" spans="1:8" ht="18" customHeight="1" x14ac:dyDescent="0.25">
      <c r="A3" s="127">
        <v>2014</v>
      </c>
      <c r="B3" s="127"/>
      <c r="C3" s="127"/>
      <c r="D3" s="127"/>
      <c r="E3" s="127"/>
      <c r="F3" s="127"/>
      <c r="G3" s="127"/>
      <c r="H3" s="127"/>
    </row>
    <row r="4" spans="1:8" ht="18" customHeight="1" x14ac:dyDescent="0.25">
      <c r="A4" s="127"/>
      <c r="B4" s="127"/>
      <c r="C4" s="127"/>
      <c r="D4" s="127"/>
      <c r="E4" s="127"/>
      <c r="F4" s="127"/>
      <c r="G4" s="127"/>
      <c r="H4" s="127"/>
    </row>
    <row r="6" spans="1:8" s="3" customFormat="1" ht="18" customHeight="1" x14ac:dyDescent="0.25">
      <c r="A6" s="138" t="s">
        <v>49</v>
      </c>
      <c r="B6" s="138"/>
      <c r="C6" s="138"/>
      <c r="D6" s="138"/>
      <c r="E6" s="138"/>
      <c r="F6" s="138"/>
      <c r="G6" s="138"/>
      <c r="H6" s="138"/>
    </row>
    <row r="7" spans="1:8" ht="9" customHeight="1" x14ac:dyDescent="0.25"/>
    <row r="8" spans="1:8" s="3" customFormat="1" ht="18" customHeight="1" x14ac:dyDescent="0.25">
      <c r="A8" s="139" t="s">
        <v>50</v>
      </c>
      <c r="B8" s="139"/>
      <c r="C8" s="139"/>
      <c r="D8" s="139"/>
      <c r="E8" s="139"/>
      <c r="F8" s="139"/>
      <c r="G8" s="139"/>
      <c r="H8" s="139"/>
    </row>
    <row r="9" spans="1:8" s="3" customFormat="1" ht="9.75" customHeight="1" x14ac:dyDescent="0.25">
      <c r="A9" s="108"/>
      <c r="B9" s="108"/>
      <c r="C9" s="108"/>
      <c r="D9" s="108"/>
      <c r="E9" s="108"/>
      <c r="F9" s="108"/>
      <c r="G9" s="108"/>
      <c r="H9" s="108"/>
    </row>
    <row r="10" spans="1:8" s="3" customFormat="1" ht="18" customHeight="1" x14ac:dyDescent="0.25">
      <c r="A10" s="143" t="s">
        <v>91</v>
      </c>
      <c r="B10" s="143"/>
      <c r="C10" s="143"/>
      <c r="D10" s="143"/>
      <c r="E10" s="143"/>
      <c r="F10" s="143"/>
      <c r="G10" s="143"/>
      <c r="H10" s="143"/>
    </row>
    <row r="11" spans="1:8" ht="15.75" thickBot="1" x14ac:dyDescent="0.3"/>
    <row r="12" spans="1:8" s="3" customFormat="1" ht="18" customHeight="1" thickBot="1" x14ac:dyDescent="0.3">
      <c r="A12" s="1" t="s">
        <v>1</v>
      </c>
      <c r="B12" s="51" t="s">
        <v>2</v>
      </c>
      <c r="C12" s="51" t="s">
        <v>3</v>
      </c>
      <c r="D12" s="144" t="s">
        <v>4</v>
      </c>
      <c r="E12" s="144"/>
      <c r="F12" s="144"/>
      <c r="G12" s="144"/>
      <c r="H12" s="145"/>
    </row>
    <row r="13" spans="1:8" s="3" customFormat="1" ht="9" customHeight="1" thickBot="1" x14ac:dyDescent="0.3"/>
    <row r="14" spans="1:8" s="3" customFormat="1" ht="18" customHeight="1" x14ac:dyDescent="0.25">
      <c r="A14" s="4" t="s">
        <v>5</v>
      </c>
      <c r="B14" s="112"/>
      <c r="C14" s="5"/>
      <c r="D14" s="6" t="s">
        <v>6</v>
      </c>
      <c r="E14" s="6"/>
      <c r="F14" s="6"/>
      <c r="G14" s="6"/>
      <c r="H14" s="7"/>
    </row>
    <row r="15" spans="1:8" s="3" customFormat="1" ht="18" customHeight="1" x14ac:dyDescent="0.25">
      <c r="A15" s="8" t="s">
        <v>7</v>
      </c>
      <c r="B15" s="113"/>
      <c r="C15" s="9"/>
      <c r="D15" s="10" t="s">
        <v>8</v>
      </c>
      <c r="E15" s="10"/>
      <c r="F15" s="10"/>
      <c r="G15" s="10"/>
      <c r="H15" s="11"/>
    </row>
    <row r="16" spans="1:8" s="3" customFormat="1" ht="18" customHeight="1" x14ac:dyDescent="0.25">
      <c r="A16" s="12" t="s">
        <v>9</v>
      </c>
      <c r="B16" s="114"/>
      <c r="C16" s="52" t="s">
        <v>10</v>
      </c>
      <c r="D16" s="14" t="s">
        <v>11</v>
      </c>
      <c r="E16" s="14"/>
      <c r="F16" s="14"/>
      <c r="G16" s="14"/>
      <c r="H16" s="15"/>
    </row>
    <row r="17" spans="1:8" s="3" customFormat="1" ht="18" customHeight="1" x14ac:dyDescent="0.25">
      <c r="A17" s="12" t="s">
        <v>12</v>
      </c>
      <c r="B17" s="115"/>
      <c r="C17" s="52"/>
      <c r="D17" s="14" t="s">
        <v>13</v>
      </c>
      <c r="E17" s="14"/>
      <c r="F17" s="14"/>
      <c r="G17" s="14"/>
      <c r="H17" s="15"/>
    </row>
    <row r="18" spans="1:8" s="3" customFormat="1" ht="18" customHeight="1" x14ac:dyDescent="0.25">
      <c r="A18" s="12" t="s">
        <v>14</v>
      </c>
      <c r="B18" s="115"/>
      <c r="C18" s="52" t="s">
        <v>15</v>
      </c>
      <c r="D18" s="14" t="s">
        <v>16</v>
      </c>
      <c r="E18" s="14"/>
      <c r="F18" s="14"/>
      <c r="G18" s="14"/>
      <c r="H18" s="15"/>
    </row>
    <row r="19" spans="1:8" s="3" customFormat="1" ht="18" customHeight="1" x14ac:dyDescent="0.25">
      <c r="A19" s="12" t="s">
        <v>17</v>
      </c>
      <c r="B19" s="116" t="s">
        <v>92</v>
      </c>
      <c r="C19" s="52" t="s">
        <v>18</v>
      </c>
      <c r="D19" s="14" t="s">
        <v>19</v>
      </c>
      <c r="E19" s="14"/>
      <c r="F19" s="14"/>
      <c r="G19" s="14"/>
      <c r="H19" s="15"/>
    </row>
    <row r="20" spans="1:8" s="3" customFormat="1" ht="18" customHeight="1" x14ac:dyDescent="0.25">
      <c r="A20" s="12" t="s">
        <v>20</v>
      </c>
      <c r="B20" s="115"/>
      <c r="C20" s="52" t="s">
        <v>21</v>
      </c>
      <c r="D20" s="14" t="s">
        <v>22</v>
      </c>
      <c r="E20" s="14"/>
      <c r="F20" s="14"/>
      <c r="G20" s="14"/>
      <c r="H20" s="15"/>
    </row>
    <row r="21" spans="1:8" s="3" customFormat="1" ht="18" customHeight="1" x14ac:dyDescent="0.25">
      <c r="A21" s="12" t="s">
        <v>23</v>
      </c>
      <c r="B21" s="48">
        <v>50</v>
      </c>
      <c r="C21" s="52" t="s">
        <v>18</v>
      </c>
      <c r="D21" s="14" t="s">
        <v>24</v>
      </c>
      <c r="E21" s="14"/>
      <c r="F21" s="14"/>
      <c r="G21" s="14"/>
      <c r="H21" s="15"/>
    </row>
    <row r="22" spans="1:8" s="3" customFormat="1" ht="18" customHeight="1" thickBot="1" x14ac:dyDescent="0.3">
      <c r="A22" s="16" t="s">
        <v>25</v>
      </c>
      <c r="B22" s="107">
        <f>IF(B14=661,'RET. REFORMA 2013'!B22,SUM('RET. REFORMA 2013'!G30:G32))</f>
        <v>0</v>
      </c>
      <c r="C22" s="53" t="s">
        <v>26</v>
      </c>
      <c r="D22" s="18" t="s">
        <v>27</v>
      </c>
      <c r="E22" s="18"/>
      <c r="F22" s="18"/>
      <c r="G22" s="18"/>
      <c r="H22" s="19"/>
    </row>
    <row r="23" spans="1:8" s="3" customFormat="1" ht="13.5" customHeight="1" x14ac:dyDescent="0.25">
      <c r="B23" s="20"/>
      <c r="C23" s="21"/>
    </row>
    <row r="24" spans="1:8" x14ac:dyDescent="0.25">
      <c r="A24" s="22" t="s">
        <v>28</v>
      </c>
      <c r="D24" s="22" t="s">
        <v>85</v>
      </c>
    </row>
    <row r="25" spans="1:8" ht="6" customHeight="1" x14ac:dyDescent="0.25"/>
    <row r="26" spans="1:8" s="3" customFormat="1" ht="18" customHeight="1" x14ac:dyDescent="0.25">
      <c r="A26" s="3" t="s">
        <v>29</v>
      </c>
      <c r="B26" s="23" t="str">
        <f>IF(B16=0, " ",(($B$18/1000)*$B$16))</f>
        <v xml:space="preserve"> </v>
      </c>
      <c r="D26" s="3" t="s">
        <v>30</v>
      </c>
      <c r="E26" s="23" t="str">
        <f>IF(B20=0," ",($B$20*$B$22)/1000)</f>
        <v xml:space="preserve"> </v>
      </c>
    </row>
    <row r="27" spans="1:8" s="3" customFormat="1" ht="18" customHeight="1" x14ac:dyDescent="0.25">
      <c r="A27" s="3" t="s">
        <v>31</v>
      </c>
      <c r="B27" s="23" t="str">
        <f>IF(B17=0," ",IF((B20/B16)&gt;B17,((B17*B16)/1000)*B19,(B20/1000)*B19))</f>
        <v xml:space="preserve"> </v>
      </c>
      <c r="D27" s="3" t="s">
        <v>32</v>
      </c>
      <c r="E27" s="23" t="str">
        <f>IF(B31&gt;0,B31," ")</f>
        <v xml:space="preserve"> </v>
      </c>
    </row>
    <row r="28" spans="1:8" s="3" customFormat="1" ht="18" customHeight="1" thickBot="1" x14ac:dyDescent="0.3">
      <c r="A28" s="3" t="s">
        <v>33</v>
      </c>
      <c r="B28" s="24" t="str">
        <f>IF(B20=0," ",(($B$20/1000)*$B$21))</f>
        <v xml:space="preserve"> </v>
      </c>
      <c r="D28" s="3" t="s">
        <v>34</v>
      </c>
      <c r="E28" s="25" t="str">
        <f>IF(E27=" "," ",E27-E26)</f>
        <v xml:space="preserve"> </v>
      </c>
    </row>
    <row r="29" spans="1:8" s="3" customFormat="1" ht="18" customHeight="1" thickTop="1" thickBot="1" x14ac:dyDescent="0.3">
      <c r="A29" s="3" t="s">
        <v>35</v>
      </c>
      <c r="B29" s="25" t="str">
        <f>IF(B26=" "," ",SUM(B26:B28))</f>
        <v xml:space="preserve"> </v>
      </c>
    </row>
    <row r="30" spans="1:8" s="3" customFormat="1" ht="18" customHeight="1" thickTop="1" thickBot="1" x14ac:dyDescent="0.3">
      <c r="A30" s="3" t="s">
        <v>36</v>
      </c>
      <c r="B30" s="23" t="str">
        <f>IF(B29=" "," ",(-B29*7%))</f>
        <v xml:space="preserve"> </v>
      </c>
      <c r="D30" s="26" t="s">
        <v>37</v>
      </c>
      <c r="E30" s="27" t="str">
        <f>IF(E28=" "," ",E28/E26)</f>
        <v xml:space="preserve"> </v>
      </c>
    </row>
    <row r="31" spans="1:8" s="3" customFormat="1" ht="18" customHeight="1" thickBot="1" x14ac:dyDescent="0.3">
      <c r="A31" s="28" t="s">
        <v>38</v>
      </c>
      <c r="B31" s="29" t="str">
        <f>IF(B29=" "," ",(B29+B30))</f>
        <v xml:space="preserve"> </v>
      </c>
      <c r="E31" s="30"/>
    </row>
    <row r="32" spans="1:8" ht="16.5" thickTop="1" thickBot="1" x14ac:dyDescent="0.3">
      <c r="D32" s="3" t="s">
        <v>51</v>
      </c>
      <c r="E32" s="119" t="str">
        <f>IF('RET. REFORMA 2013'!E71=" "," ",'RET. REFORMA 2013'!E71)</f>
        <v xml:space="preserve"> </v>
      </c>
    </row>
    <row r="33" spans="1:8" ht="19.5" thickBot="1" x14ac:dyDescent="0.35">
      <c r="D33" s="54" t="s">
        <v>52</v>
      </c>
      <c r="E33" s="55" t="str">
        <f>IF(E32=" "," ",(B31-E32)/E32)</f>
        <v xml:space="preserve"> </v>
      </c>
    </row>
    <row r="38" spans="1:8" x14ac:dyDescent="0.25">
      <c r="A38" s="22" t="s">
        <v>39</v>
      </c>
    </row>
    <row r="39" spans="1:8" ht="15.75" thickBot="1" x14ac:dyDescent="0.3"/>
    <row r="40" spans="1:8" s="3" customFormat="1" ht="18" customHeight="1" thickBot="1" x14ac:dyDescent="0.3">
      <c r="A40" s="1" t="s">
        <v>1</v>
      </c>
      <c r="B40" s="51" t="s">
        <v>2</v>
      </c>
      <c r="C40" s="51" t="s">
        <v>3</v>
      </c>
      <c r="D40" s="144" t="s">
        <v>4</v>
      </c>
      <c r="E40" s="144"/>
      <c r="F40" s="144"/>
      <c r="G40" s="144"/>
      <c r="H40" s="145"/>
    </row>
    <row r="41" spans="1:8" s="3" customFormat="1" ht="9" customHeight="1" thickBot="1" x14ac:dyDescent="0.3"/>
    <row r="42" spans="1:8" s="3" customFormat="1" ht="18" customHeight="1" x14ac:dyDescent="0.25">
      <c r="A42" s="31" t="s">
        <v>40</v>
      </c>
      <c r="B42" s="120" t="s">
        <v>92</v>
      </c>
      <c r="C42" s="32" t="s">
        <v>41</v>
      </c>
      <c r="D42" s="5" t="s">
        <v>42</v>
      </c>
      <c r="E42" s="5"/>
      <c r="F42" s="5"/>
      <c r="G42" s="33"/>
      <c r="H42" s="7"/>
    </row>
    <row r="43" spans="1:8" s="3" customFormat="1" ht="18" customHeight="1" x14ac:dyDescent="0.25">
      <c r="A43" s="134" t="s">
        <v>43</v>
      </c>
      <c r="B43" s="121" t="s">
        <v>92</v>
      </c>
      <c r="C43" s="136" t="s">
        <v>41</v>
      </c>
      <c r="D43" s="34" t="s">
        <v>44</v>
      </c>
      <c r="E43" s="34"/>
      <c r="F43" s="34"/>
      <c r="G43" s="34"/>
      <c r="H43" s="35"/>
    </row>
    <row r="44" spans="1:8" s="3" customFormat="1" ht="18" customHeight="1" thickBot="1" x14ac:dyDescent="0.3">
      <c r="A44" s="135"/>
      <c r="B44" s="122" t="s">
        <v>92</v>
      </c>
      <c r="C44" s="137"/>
      <c r="D44" s="36" t="s">
        <v>45</v>
      </c>
      <c r="E44" s="36"/>
      <c r="F44" s="36"/>
      <c r="G44" s="36"/>
      <c r="H44" s="37"/>
    </row>
    <row r="46" spans="1:8" ht="15.75" thickBot="1" x14ac:dyDescent="0.3"/>
    <row r="47" spans="1:8" s="3" customFormat="1" ht="18" customHeight="1" x14ac:dyDescent="0.25">
      <c r="A47" s="38" t="s">
        <v>46</v>
      </c>
      <c r="B47" s="39"/>
      <c r="C47" s="40" t="str">
        <f>IF(B42=" "," ",(B31/B42))</f>
        <v xml:space="preserve"> </v>
      </c>
    </row>
    <row r="48" spans="1:8" s="3" customFormat="1" ht="18" customHeight="1" x14ac:dyDescent="0.25">
      <c r="A48" s="41" t="s">
        <v>47</v>
      </c>
      <c r="B48" s="42"/>
      <c r="C48" s="43" t="str">
        <f>IF(B43=" "," ",B31-B43)</f>
        <v xml:space="preserve"> </v>
      </c>
    </row>
    <row r="49" spans="1:3" s="3" customFormat="1" ht="18" customHeight="1" thickBot="1" x14ac:dyDescent="0.3">
      <c r="A49" s="44" t="s">
        <v>48</v>
      </c>
      <c r="B49" s="45"/>
      <c r="C49" s="46" t="str">
        <f>IF(C48=" "," ",C48/B42)</f>
        <v xml:space="preserve"> </v>
      </c>
    </row>
    <row r="50" spans="1:3" s="3" customFormat="1" ht="18" customHeight="1" x14ac:dyDescent="0.25"/>
  </sheetData>
  <sheetProtection password="9F98" sheet="1" objects="1" scenarios="1"/>
  <mergeCells count="9">
    <mergeCell ref="A43:A44"/>
    <mergeCell ref="C43:C44"/>
    <mergeCell ref="A3:H4"/>
    <mergeCell ref="A10:H10"/>
    <mergeCell ref="A1:H1"/>
    <mergeCell ref="A6:H6"/>
    <mergeCell ref="A8:H8"/>
    <mergeCell ref="D12:H12"/>
    <mergeCell ref="D40:H40"/>
  </mergeCells>
  <pageMargins left="0.70866141732283472" right="0.70866141732283472" top="0.55118110236220474" bottom="0.19685039370078741" header="0.31496062992125984" footer="0.11811023622047245"/>
  <pageSetup paperSize="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RET. REFORMA 2013</vt:lpstr>
      <vt:lpstr>RET. REFORMA 2014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miguel</cp:lastModifiedBy>
  <cp:lastPrinted>2014-02-06T17:46:14Z</cp:lastPrinted>
  <dcterms:created xsi:type="dcterms:W3CDTF">2014-02-04T16:36:48Z</dcterms:created>
  <dcterms:modified xsi:type="dcterms:W3CDTF">2014-02-06T17:56:25Z</dcterms:modified>
</cp:coreProperties>
</file>